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swat\top\Sharing Thales\2024\Simulatietool Excel\"/>
    </mc:Choice>
  </mc:AlternateContent>
  <xr:revisionPtr revIDLastSave="0" documentId="13_ncr:1_{94FD76EC-563F-4345-AA26-10E8A5E51693}" xr6:coauthVersionLast="36" xr6:coauthVersionMax="47" xr10:uidLastSave="{00000000-0000-0000-0000-000000000000}"/>
  <bookViews>
    <workbookView xWindow="0" yWindow="510" windowWidth="27540" windowHeight="17490" xr2:uid="{00000000-000D-0000-FFFF-FFFF00000000}"/>
  </bookViews>
  <sheets>
    <sheet name="Simulatie" sheetId="1" r:id="rId1"/>
    <sheet name="Rekenblad" sheetId="2" r:id="rId2"/>
  </sheets>
  <definedNames>
    <definedName name="Loon">Simulatie!$D$2</definedName>
  </definedNames>
  <calcPr calcId="191029" fullPrecision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D7" i="1"/>
  <c r="B8" i="2" l="1"/>
  <c r="D5" i="1" s="1"/>
  <c r="B4" i="2"/>
  <c r="D4" i="1" s="1"/>
  <c r="B1" i="2"/>
  <c r="D3" i="1" s="1"/>
  <c r="E23" i="1" l="1"/>
  <c r="C11" i="1"/>
  <c r="D10" i="1"/>
  <c r="F12" i="1" l="1"/>
  <c r="E10" i="1"/>
  <c r="D11" i="1"/>
  <c r="F13" i="1" l="1"/>
  <c r="E11" i="1"/>
  <c r="E14" i="1" s="1"/>
  <c r="G12" i="1"/>
  <c r="I12" i="1"/>
  <c r="H12" i="1"/>
  <c r="D14" i="1"/>
  <c r="E29" i="1" s="1"/>
  <c r="F14" i="1"/>
  <c r="D30" i="1" l="1"/>
  <c r="H29" i="1"/>
  <c r="G30" i="1"/>
  <c r="C30" i="1"/>
  <c r="I30" i="1"/>
  <c r="F29" i="1"/>
  <c r="F30" i="1"/>
  <c r="C29" i="1"/>
  <c r="G29" i="1"/>
  <c r="B30" i="1"/>
  <c r="E30" i="1"/>
  <c r="E31" i="1" s="1"/>
  <c r="D29" i="1"/>
  <c r="I13" i="1"/>
  <c r="I14" i="1" s="1"/>
  <c r="H13" i="1"/>
  <c r="H14" i="1" s="1"/>
  <c r="G13" i="1"/>
  <c r="G14" i="1" s="1"/>
  <c r="H30" i="1"/>
  <c r="I29" i="1"/>
  <c r="H31" i="1" l="1"/>
  <c r="D31" i="1"/>
  <c r="C31" i="1"/>
  <c r="F31" i="1"/>
  <c r="E22" i="1"/>
  <c r="G31" i="1"/>
  <c r="I31" i="1"/>
  <c r="E16" i="1"/>
  <c r="F19" i="1" s="1"/>
  <c r="E21" i="1"/>
  <c r="D32" i="1" l="1"/>
  <c r="I34" i="1"/>
  <c r="I35" i="1" s="1"/>
  <c r="I32" i="1"/>
  <c r="E34" i="1"/>
  <c r="E35" i="1" s="1"/>
  <c r="E32" i="1"/>
  <c r="F32" i="1"/>
  <c r="D34" i="1"/>
  <c r="D35" i="1" s="1"/>
  <c r="G32" i="1"/>
  <c r="C34" i="1"/>
  <c r="C35" i="1" s="1"/>
  <c r="F34" i="1"/>
  <c r="F35" i="1" s="1"/>
  <c r="B31" i="1"/>
  <c r="B29" i="1" s="1"/>
  <c r="B28" i="1" s="1"/>
  <c r="H32" i="1"/>
  <c r="F18" i="1"/>
  <c r="F17" i="1"/>
  <c r="G34" i="1"/>
  <c r="G35" i="1" s="1"/>
  <c r="H34" i="1"/>
  <c r="H35" i="1" s="1"/>
  <c r="C32" i="1"/>
  <c r="B34" i="1" l="1"/>
  <c r="B35" i="1" s="1"/>
  <c r="B32" i="1"/>
</calcChain>
</file>

<file path=xl/sharedStrings.xml><?xml version="1.0" encoding="utf-8"?>
<sst xmlns="http://schemas.openxmlformats.org/spreadsheetml/2006/main" count="53" uniqueCount="52">
  <si>
    <t>Belasting</t>
  </si>
  <si>
    <t>Wat levert het op na 5 jaar</t>
  </si>
  <si>
    <t xml:space="preserve">Koers na 5 jaar </t>
  </si>
  <si>
    <t>5 jaar dividend</t>
  </si>
  <si>
    <t>Totaal</t>
  </si>
  <si>
    <t>Totaal rendement</t>
  </si>
  <si>
    <t>rendement per jaar</t>
  </si>
  <si>
    <t>Belastbaar loon</t>
  </si>
  <si>
    <t>Inschrijfprijs met 20% korting</t>
  </si>
  <si>
    <t>Oranje  vakjes zijn input, alle overige niet veranderen</t>
  </si>
  <si>
    <t>Winst/Verlies</t>
  </si>
  <si>
    <t>Je krijgt geen aandelen Thales in bezit, maar aandelen in het FCPE.</t>
  </si>
  <si>
    <t>Waarde van de aandelen</t>
  </si>
  <si>
    <t xml:space="preserve">Verwacht gemiddeld dividend per jaar per aandeel </t>
  </si>
  <si>
    <t>Break-even koers</t>
  </si>
  <si>
    <t xml:space="preserve">SWAT heeft zijn best gedaan de berekeningen zorgvuldig uit te voeren, maar dat is geen garantie dat het in jouw </t>
  </si>
  <si>
    <t>praktijk toch niet nét even anders uitpakt. Voor eventuele verschillen is SWAT niet verantwoordelijk.</t>
  </si>
  <si>
    <t>Simulatie Thales Aandelenplan 2024</t>
  </si>
  <si>
    <t>Referentieprijs bij uitgifte in 2024</t>
  </si>
  <si>
    <t>Inschrijving</t>
  </si>
  <si>
    <t>Aantal aandelen</t>
  </si>
  <si>
    <t>Werkgeversbijdrage (max €500)</t>
  </si>
  <si>
    <t>Belastingkorting op voordeel gekochte aandelen</t>
  </si>
  <si>
    <t>Belastingkorting op werkgeversbijdrage</t>
  </si>
  <si>
    <t>Effectieve korting op referentieprijs inclusief belasting/mindere belastingkortingen</t>
  </si>
  <si>
    <t>Effectieve korting op slotkoers 17 december 2024, inclusief belasting/mindere belastingkortingen</t>
  </si>
  <si>
    <t>Effectieve prijs per aandeel incl. korting, werkgeversbijdrage en belasting/mindere belastingkortingen</t>
  </si>
  <si>
    <t>Te betalen belasting in december 2024</t>
  </si>
  <si>
    <t>Betaling aandelen per maand van januari tot december 2025</t>
  </si>
  <si>
    <t>kun je te maken krijgen met lagere inkomensafhankelijke toeslagen of heffingskortingen.</t>
  </si>
  <si>
    <t>Alleen het effect van de algemene heffingskorting en arbeidskorting is hier meegenomen in kolom H en I.</t>
  </si>
  <si>
    <t>Het effect op de Inkomensafhankelijke combinatiekorting (IACK) die je misschien hebt, is niet meegenomen.</t>
  </si>
  <si>
    <t>Het effect van de toeslagen is voor ieder individu anders en kan dus ook niet in deze berekening worden meegenomen.</t>
  </si>
  <si>
    <t>Omdat de aandelen meetellen voor je Box 3 vermogen kun je te maken krijgen met vermogensrendementsheffing.</t>
  </si>
  <si>
    <t>In deze berekening wordt daarom met IACK, toeslagen en vermogensrendementsheffing GEEN rekening gehouden.</t>
  </si>
  <si>
    <t>Fonds Commun de Placement d’Entreprise (FCPE) "Actionnariat Salarié Thales", categorie 'Netherlands Classic'</t>
  </si>
  <si>
    <t>Binnen FCPE worden de dividenden herbelegd, wat leidt tot een steeds hogere koers van het FCPE-aandeel t.o.v. die van het Thales-aandeel.</t>
  </si>
  <si>
    <t>Omdat je belastbaar inkomen eenmalig stijgt als gevolg van de korting en de werkgeversbijdrage (cellen F14 en F15),</t>
  </si>
  <si>
    <t>N.B.: De verschuldigde belasting zal als correctie van jouw salaris over december 2024 worden ingehouden op jouw (netto) salaris over de maand januari 2025</t>
  </si>
  <si>
    <t>Verwachte slotkoers Thales aandeel op 17 december 2024</t>
  </si>
  <si>
    <t>Waarde op
 17-12-2024</t>
  </si>
  <si>
    <t>Effect arbeidskorting</t>
  </si>
  <si>
    <t>Netto effect op belastingkortingen in december 2024</t>
  </si>
  <si>
    <t>Minder algemene heffingskorting</t>
  </si>
  <si>
    <t>Effect van inkomensafhankelijke algemene heffingskorting (0% of 6,630%)</t>
  </si>
  <si>
    <t>Effect van inkomensafhankelijke arbeidskorting (-8,425%, -31,433%, -2,471%, +6,510% of 0%)</t>
  </si>
  <si>
    <t>Effect van inkomensafhankelijke algemene heffingskorting</t>
  </si>
  <si>
    <t>Effect van inkomensafhankelijke arbeidskorting</t>
  </si>
  <si>
    <t>Tarief Inkomstenbelasting</t>
  </si>
  <si>
    <t>Tarief Inkomstenbelasting (36,97% of 49,5%)</t>
  </si>
  <si>
    <t>Bruto jaarloon Thales + overig loon:</t>
  </si>
  <si>
    <t>Je kosten:  inschrijving + belasting + hogere/lagere belastingkortingen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</si>
</sst>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* #,##0.00_ ;_ &quot;€&quot;* \-#,##0.00_ ;_ &quot;€&quot;* &quot;-&quot;??_ ;_ @_ "/>
    <numFmt numFmtId="164" formatCode="_ &quot;€&quot;\ * #,##0.00_ ;_ &quot;€&quot;\ * \-#,##0.00_ ;_ &quot;€&quot;\ * &quot;-&quot;??_ ;_ @_ "/>
    <numFmt numFmtId="165" formatCode="0.0%"/>
    <numFmt numFmtId="166" formatCode="0.000%"/>
    <numFmt numFmtId="167" formatCode="_ [$€-2]\ * #,##0_ ;_ [$€-2]\ * \-#,##0_ ;_ [$€-2]\ * &quot;-&quot;??_ ;_ @_ "/>
    <numFmt numFmtId="168" formatCode="_ &quot;€&quot;\ * #,##0_ ;_ &quot;€&quot;\ * \-#,##0_ ;_ &quot;€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3" borderId="2" applyNumberFormat="0" applyFont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2" fontId="0" fillId="0" borderId="0" xfId="0" applyNumberFormat="1"/>
    <xf numFmtId="165" fontId="0" fillId="0" borderId="0" xfId="1" applyNumberFormat="1" applyFont="1"/>
    <xf numFmtId="164" fontId="0" fillId="0" borderId="0" xfId="3" applyFont="1"/>
    <xf numFmtId="9" fontId="0" fillId="0" borderId="0" xfId="0" applyNumberFormat="1"/>
    <xf numFmtId="0" fontId="0" fillId="0" borderId="0" xfId="0" applyAlignment="1">
      <alignment vertical="top"/>
    </xf>
    <xf numFmtId="0" fontId="0" fillId="3" borderId="2" xfId="2" applyFont="1" applyAlignment="1">
      <alignment vertical="top"/>
    </xf>
    <xf numFmtId="0" fontId="0" fillId="3" borderId="2" xfId="2" applyFont="1" applyAlignment="1">
      <alignment vertical="top" wrapText="1"/>
    </xf>
    <xf numFmtId="44" fontId="0" fillId="0" borderId="0" xfId="0" applyNumberFormat="1"/>
    <xf numFmtId="164" fontId="4" fillId="0" borderId="0" xfId="3" applyFont="1"/>
    <xf numFmtId="164" fontId="0" fillId="0" borderId="0" xfId="0" applyNumberFormat="1"/>
    <xf numFmtId="44" fontId="0" fillId="5" borderId="0" xfId="0" applyNumberFormat="1" applyFill="1"/>
    <xf numFmtId="164" fontId="0" fillId="5" borderId="0" xfId="0" applyNumberFormat="1" applyFill="1"/>
    <xf numFmtId="164" fontId="2" fillId="2" borderId="1" xfId="3" applyFont="1" applyFill="1" applyBorder="1" applyProtection="1">
      <protection locked="0"/>
    </xf>
    <xf numFmtId="0" fontId="0" fillId="6" borderId="2" xfId="2" applyFont="1" applyFill="1" applyAlignment="1">
      <alignment vertical="top"/>
    </xf>
    <xf numFmtId="0" fontId="0" fillId="6" borderId="0" xfId="0" applyFill="1"/>
    <xf numFmtId="44" fontId="4" fillId="6" borderId="0" xfId="0" applyNumberFormat="1" applyFont="1" applyFill="1"/>
    <xf numFmtId="165" fontId="0" fillId="0" borderId="0" xfId="0" applyNumberFormat="1"/>
    <xf numFmtId="0" fontId="0" fillId="0" borderId="6" xfId="0" applyBorder="1"/>
    <xf numFmtId="164" fontId="0" fillId="0" borderId="6" xfId="3" applyFont="1" applyBorder="1"/>
    <xf numFmtId="164" fontId="4" fillId="0" borderId="6" xfId="3" applyFont="1" applyBorder="1"/>
    <xf numFmtId="0" fontId="0" fillId="0" borderId="0" xfId="0" applyAlignment="1">
      <alignment wrapText="1"/>
    </xf>
    <xf numFmtId="2" fontId="0" fillId="3" borderId="2" xfId="2" applyNumberFormat="1" applyFont="1" applyAlignment="1">
      <alignment vertical="top" wrapText="1"/>
    </xf>
    <xf numFmtId="0" fontId="0" fillId="5" borderId="0" xfId="0" applyFill="1" applyAlignment="1">
      <alignment horizontal="right" wrapText="1"/>
    </xf>
    <xf numFmtId="0" fontId="6" fillId="0" borderId="0" xfId="0" applyFont="1"/>
    <xf numFmtId="166" fontId="0" fillId="0" borderId="0" xfId="0" applyNumberFormat="1"/>
    <xf numFmtId="168" fontId="2" fillId="2" borderId="1" xfId="3" applyNumberFormat="1" applyFont="1" applyFill="1" applyBorder="1" applyProtection="1">
      <protection locked="0"/>
    </xf>
    <xf numFmtId="0" fontId="7" fillId="0" borderId="0" xfId="0" applyFont="1"/>
    <xf numFmtId="166" fontId="7" fillId="0" borderId="0" xfId="0" applyNumberFormat="1" applyFont="1"/>
    <xf numFmtId="168" fontId="7" fillId="0" borderId="0" xfId="0" applyNumberFormat="1" applyFont="1"/>
    <xf numFmtId="167" fontId="7" fillId="0" borderId="0" xfId="0" applyNumberFormat="1" applyFont="1"/>
    <xf numFmtId="0" fontId="8" fillId="7" borderId="5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64" fontId="2" fillId="0" borderId="1" xfId="3" applyFont="1" applyFill="1" applyBorder="1" applyProtection="1"/>
  </cellXfs>
  <cellStyles count="4">
    <cellStyle name="Currency" xfId="3" builtinId="4"/>
    <cellStyle name="Normal" xfId="0" builtinId="0"/>
    <cellStyle name="Note" xfId="2" builtinId="10"/>
    <cellStyle name="Percent" xfId="1" builtin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tabSelected="1" zoomScaleNormal="100" workbookViewId="0">
      <selection activeCell="D7" sqref="D7"/>
    </sheetView>
  </sheetViews>
  <sheetFormatPr defaultColWidth="8.7109375" defaultRowHeight="15" x14ac:dyDescent="0.25"/>
  <cols>
    <col min="1" max="1" width="26.42578125" customWidth="1"/>
    <col min="2" max="2" width="14.7109375" customWidth="1"/>
    <col min="3" max="3" width="15.7109375" customWidth="1"/>
    <col min="4" max="4" width="12.140625" customWidth="1"/>
    <col min="5" max="5" width="15.42578125" customWidth="1"/>
    <col min="6" max="7" width="14.7109375" customWidth="1"/>
    <col min="8" max="8" width="16.7109375" customWidth="1"/>
    <col min="9" max="10" width="14.7109375" customWidth="1"/>
    <col min="15" max="15" width="10.42578125" bestFit="1" customWidth="1"/>
  </cols>
  <sheetData>
    <row r="1" spans="1:9" ht="30" customHeight="1" x14ac:dyDescent="0.25">
      <c r="A1" s="33" t="s">
        <v>17</v>
      </c>
      <c r="B1" s="34"/>
      <c r="C1" s="35"/>
      <c r="D1" s="31" t="s">
        <v>9</v>
      </c>
      <c r="E1" s="32"/>
      <c r="F1" s="32"/>
      <c r="G1" s="32"/>
      <c r="H1" s="32"/>
      <c r="I1" s="32"/>
    </row>
    <row r="2" spans="1:9" x14ac:dyDescent="0.25">
      <c r="A2" t="s">
        <v>50</v>
      </c>
      <c r="D2" s="26">
        <v>39958</v>
      </c>
    </row>
    <row r="3" spans="1:9" x14ac:dyDescent="0.25">
      <c r="A3" t="s">
        <v>48</v>
      </c>
      <c r="D3" s="25">
        <f>Rekenblad!B1</f>
        <v>0.36969999999999997</v>
      </c>
    </row>
    <row r="4" spans="1:9" x14ac:dyDescent="0.25">
      <c r="A4" t="s">
        <v>46</v>
      </c>
      <c r="D4" s="25">
        <f>Rekenblad!B4</f>
        <v>6.6299999999999998E-2</v>
      </c>
    </row>
    <row r="5" spans="1:9" x14ac:dyDescent="0.25">
      <c r="A5" t="s">
        <v>47</v>
      </c>
      <c r="D5" s="25">
        <f>Rekenblad!B8</f>
        <v>6.5100000000000005E-2</v>
      </c>
    </row>
    <row r="6" spans="1:9" x14ac:dyDescent="0.25">
      <c r="A6" t="s">
        <v>18</v>
      </c>
      <c r="D6" s="37">
        <f>D7/(1-B7)</f>
        <v>149.61000000000001</v>
      </c>
      <c r="G6" s="1"/>
    </row>
    <row r="7" spans="1:9" x14ac:dyDescent="0.25">
      <c r="A7" t="s">
        <v>8</v>
      </c>
      <c r="B7" s="4">
        <v>0.2</v>
      </c>
      <c r="D7" s="3">
        <f>119.69</f>
        <v>119.69</v>
      </c>
      <c r="G7" s="1"/>
    </row>
    <row r="8" spans="1:9" x14ac:dyDescent="0.25">
      <c r="A8" t="s">
        <v>39</v>
      </c>
      <c r="D8" s="13">
        <v>168</v>
      </c>
    </row>
    <row r="9" spans="1:9" s="5" customFormat="1" ht="30" customHeight="1" x14ac:dyDescent="0.25">
      <c r="A9" s="6"/>
      <c r="B9" s="6"/>
      <c r="C9" s="6"/>
      <c r="D9" s="22" t="s">
        <v>20</v>
      </c>
      <c r="E9" s="7" t="s">
        <v>40</v>
      </c>
      <c r="F9" s="7" t="s">
        <v>7</v>
      </c>
      <c r="G9" s="6" t="s">
        <v>0</v>
      </c>
      <c r="H9" s="7" t="s">
        <v>43</v>
      </c>
      <c r="I9" s="7" t="s">
        <v>41</v>
      </c>
    </row>
    <row r="10" spans="1:9" x14ac:dyDescent="0.25">
      <c r="A10" t="s">
        <v>19</v>
      </c>
      <c r="C10" s="13">
        <v>1000</v>
      </c>
      <c r="D10">
        <f>C10/D7</f>
        <v>8.3549168685771598</v>
      </c>
      <c r="E10" s="10">
        <f>D10*D8</f>
        <v>1403.63</v>
      </c>
      <c r="F10" s="3"/>
      <c r="G10" s="3"/>
      <c r="H10" s="3"/>
    </row>
    <row r="11" spans="1:9" x14ac:dyDescent="0.25">
      <c r="A11" t="s">
        <v>21</v>
      </c>
      <c r="C11" s="10">
        <f>MIN(C10/2,500)</f>
        <v>500</v>
      </c>
      <c r="D11">
        <f>C11/D7</f>
        <v>4.1774584342885799</v>
      </c>
      <c r="E11" s="10">
        <f>D11*D8</f>
        <v>701.81</v>
      </c>
      <c r="F11" s="3"/>
      <c r="G11" s="3"/>
      <c r="H11" s="3"/>
    </row>
    <row r="12" spans="1:9" x14ac:dyDescent="0.25">
      <c r="A12" t="s">
        <v>22</v>
      </c>
      <c r="C12" s="17">
        <v>0.18</v>
      </c>
      <c r="F12" s="3">
        <f>D10*D8*(1-C12)-C10</f>
        <v>150.97</v>
      </c>
      <c r="G12" s="3">
        <f>-$D$3*F12</f>
        <v>-55.81</v>
      </c>
      <c r="H12" s="3">
        <f>-$D$4*F12</f>
        <v>-10.01</v>
      </c>
      <c r="I12" s="3">
        <f>-$D$5*F12</f>
        <v>-9.83</v>
      </c>
    </row>
    <row r="13" spans="1:9" x14ac:dyDescent="0.25">
      <c r="A13" t="s">
        <v>23</v>
      </c>
      <c r="C13" s="17">
        <v>0.185</v>
      </c>
      <c r="F13" s="3">
        <f>(1-C13)*(D11*D8)</f>
        <v>571.98</v>
      </c>
      <c r="G13" s="3">
        <f>-$D$3*F13</f>
        <v>-211.46</v>
      </c>
      <c r="H13" s="3">
        <f>-$D$4*F13</f>
        <v>-37.92</v>
      </c>
      <c r="I13" s="3">
        <f>-$D$5*F13</f>
        <v>-37.24</v>
      </c>
    </row>
    <row r="14" spans="1:9" x14ac:dyDescent="0.25">
      <c r="A14" s="18" t="s">
        <v>4</v>
      </c>
      <c r="B14" s="18"/>
      <c r="C14" s="18"/>
      <c r="D14" s="18">
        <f t="shared" ref="D14:I14" si="0">SUM(D10:D13)</f>
        <v>12.532375302865701</v>
      </c>
      <c r="E14" s="19">
        <f t="shared" si="0"/>
        <v>2105.44</v>
      </c>
      <c r="F14" s="19">
        <f t="shared" si="0"/>
        <v>722.95</v>
      </c>
      <c r="G14" s="20">
        <f t="shared" si="0"/>
        <v>-267.27</v>
      </c>
      <c r="H14" s="20">
        <f t="shared" si="0"/>
        <v>-47.93</v>
      </c>
      <c r="I14" s="20">
        <f t="shared" si="0"/>
        <v>-47.07</v>
      </c>
    </row>
    <row r="15" spans="1:9" x14ac:dyDescent="0.25">
      <c r="F15" s="3"/>
      <c r="G15" s="3"/>
      <c r="H15" s="3"/>
    </row>
    <row r="16" spans="1:9" x14ac:dyDescent="0.25">
      <c r="A16" s="6" t="s">
        <v>51</v>
      </c>
      <c r="B16" s="14"/>
      <c r="C16" s="15"/>
      <c r="D16" s="15"/>
      <c r="E16" s="16">
        <f>C10-G14-H14-I14</f>
        <v>1362.27</v>
      </c>
      <c r="G16" s="3"/>
      <c r="H16" s="3"/>
    </row>
    <row r="17" spans="1:15" x14ac:dyDescent="0.25">
      <c r="A17" t="s">
        <v>24</v>
      </c>
      <c r="F17" s="2">
        <f>(1-E16/(D14*D6))</f>
        <v>0.27300000000000002</v>
      </c>
    </row>
    <row r="18" spans="1:15" x14ac:dyDescent="0.25">
      <c r="A18" t="s">
        <v>25</v>
      </c>
      <c r="F18" s="2">
        <f>(1-E16/(D14*D8))</f>
        <v>0.35299999999999998</v>
      </c>
    </row>
    <row r="19" spans="1:15" x14ac:dyDescent="0.25">
      <c r="A19" t="s">
        <v>26</v>
      </c>
      <c r="F19" s="3">
        <f>E16/D14</f>
        <v>108.7</v>
      </c>
    </row>
    <row r="20" spans="1:15" x14ac:dyDescent="0.25">
      <c r="F20" s="3"/>
    </row>
    <row r="21" spans="1:15" ht="15" customHeight="1" x14ac:dyDescent="0.25">
      <c r="A21" t="s">
        <v>27</v>
      </c>
      <c r="E21" s="9">
        <f>G14</f>
        <v>-267.27</v>
      </c>
      <c r="F21" s="36" t="s">
        <v>38</v>
      </c>
      <c r="G21" s="36"/>
      <c r="H21" s="36"/>
      <c r="I21" s="36"/>
      <c r="J21" s="21"/>
    </row>
    <row r="22" spans="1:15" ht="15" customHeight="1" x14ac:dyDescent="0.25">
      <c r="A22" t="s">
        <v>42</v>
      </c>
      <c r="E22" s="9">
        <f>H14+I14</f>
        <v>-95</v>
      </c>
      <c r="F22" s="36"/>
      <c r="G22" s="36"/>
      <c r="H22" s="36"/>
      <c r="I22" s="36"/>
      <c r="J22" s="21"/>
    </row>
    <row r="23" spans="1:15" x14ac:dyDescent="0.25">
      <c r="A23" t="s">
        <v>28</v>
      </c>
      <c r="E23" s="9">
        <f>C10/12</f>
        <v>83.33</v>
      </c>
      <c r="F23" s="36"/>
      <c r="G23" s="36"/>
      <c r="H23" s="36"/>
      <c r="I23" s="36"/>
      <c r="J23" s="21"/>
    </row>
    <row r="24" spans="1:15" x14ac:dyDescent="0.25">
      <c r="F24" s="3"/>
    </row>
    <row r="25" spans="1:15" x14ac:dyDescent="0.25">
      <c r="A25" s="6" t="s">
        <v>1</v>
      </c>
      <c r="B25" s="6"/>
      <c r="F25" s="3"/>
    </row>
    <row r="26" spans="1:15" x14ac:dyDescent="0.25">
      <c r="A26" t="s">
        <v>13</v>
      </c>
      <c r="C26" s="13">
        <v>2.5</v>
      </c>
      <c r="M26" s="3"/>
    </row>
    <row r="27" spans="1:15" ht="18" customHeight="1" x14ac:dyDescent="0.25">
      <c r="B27" s="23" t="s">
        <v>14</v>
      </c>
      <c r="E27" s="3"/>
    </row>
    <row r="28" spans="1:15" x14ac:dyDescent="0.25">
      <c r="A28" t="s">
        <v>2</v>
      </c>
      <c r="B28" s="11">
        <f>B29/$D$14</f>
        <v>96.2</v>
      </c>
      <c r="C28" s="13">
        <v>80</v>
      </c>
      <c r="D28" s="13">
        <v>95</v>
      </c>
      <c r="E28" s="13">
        <v>110</v>
      </c>
      <c r="F28" s="13">
        <v>135</v>
      </c>
      <c r="G28" s="13">
        <v>160</v>
      </c>
      <c r="H28" s="13">
        <v>185</v>
      </c>
      <c r="I28" s="13">
        <v>210</v>
      </c>
    </row>
    <row r="29" spans="1:15" x14ac:dyDescent="0.25">
      <c r="A29" t="s">
        <v>12</v>
      </c>
      <c r="B29" s="8">
        <f>B31-B30</f>
        <v>1205.6199999999999</v>
      </c>
      <c r="C29" s="3">
        <f t="shared" ref="C29:H29" si="1">$D$14*C28</f>
        <v>1002.59</v>
      </c>
      <c r="D29" s="3">
        <f t="shared" si="1"/>
        <v>1190.58</v>
      </c>
      <c r="E29" s="3">
        <f t="shared" si="1"/>
        <v>1378.56</v>
      </c>
      <c r="F29" s="3">
        <f t="shared" si="1"/>
        <v>1691.87</v>
      </c>
      <c r="G29" s="3">
        <f t="shared" si="1"/>
        <v>2005.18</v>
      </c>
      <c r="H29" s="3">
        <f t="shared" si="1"/>
        <v>2318.4899999999998</v>
      </c>
      <c r="I29" s="3">
        <f t="shared" ref="I29" si="2">$D$14*I28</f>
        <v>2631.8</v>
      </c>
    </row>
    <row r="30" spans="1:15" x14ac:dyDescent="0.25">
      <c r="A30" t="s">
        <v>3</v>
      </c>
      <c r="B30" s="3">
        <f t="shared" ref="B30:I30" si="3">5*$C$26*$D$14</f>
        <v>156.65</v>
      </c>
      <c r="C30" s="3">
        <f t="shared" si="3"/>
        <v>156.65</v>
      </c>
      <c r="D30" s="3">
        <f t="shared" si="3"/>
        <v>156.65</v>
      </c>
      <c r="E30" s="3">
        <f t="shared" si="3"/>
        <v>156.65</v>
      </c>
      <c r="F30" s="3">
        <f t="shared" si="3"/>
        <v>156.65</v>
      </c>
      <c r="G30" s="3">
        <f t="shared" si="3"/>
        <v>156.65</v>
      </c>
      <c r="H30" s="3">
        <f t="shared" si="3"/>
        <v>156.65</v>
      </c>
      <c r="I30" s="3">
        <f t="shared" si="3"/>
        <v>156.65</v>
      </c>
    </row>
    <row r="31" spans="1:15" x14ac:dyDescent="0.25">
      <c r="A31" t="s">
        <v>4</v>
      </c>
      <c r="B31" s="10">
        <f>$E$16</f>
        <v>1362.27</v>
      </c>
      <c r="C31" s="3">
        <f>C29+C30</f>
        <v>1159.24</v>
      </c>
      <c r="D31" s="3">
        <f>D29+D30</f>
        <v>1347.23</v>
      </c>
      <c r="E31" s="3">
        <f t="shared" ref="E31:G31" si="4">E29+E30</f>
        <v>1535.21</v>
      </c>
      <c r="F31" s="3">
        <f t="shared" si="4"/>
        <v>1848.52</v>
      </c>
      <c r="G31" s="3">
        <f t="shared" si="4"/>
        <v>2161.83</v>
      </c>
      <c r="H31" s="3">
        <f t="shared" ref="H31:I31" si="5">H29+H30</f>
        <v>2475.14</v>
      </c>
      <c r="I31" s="3">
        <f t="shared" si="5"/>
        <v>2788.45</v>
      </c>
    </row>
    <row r="32" spans="1:15" x14ac:dyDescent="0.25">
      <c r="A32" t="s">
        <v>10</v>
      </c>
      <c r="B32" s="12">
        <f t="shared" ref="B32:I32" si="6">B31-$E$16</f>
        <v>0</v>
      </c>
      <c r="C32" s="12">
        <f t="shared" si="6"/>
        <v>-203.03</v>
      </c>
      <c r="D32" s="12">
        <f t="shared" si="6"/>
        <v>-15.04</v>
      </c>
      <c r="E32" s="12">
        <f t="shared" si="6"/>
        <v>172.94</v>
      </c>
      <c r="F32" s="12">
        <f t="shared" si="6"/>
        <v>486.25</v>
      </c>
      <c r="G32" s="12">
        <f t="shared" si="6"/>
        <v>799.56</v>
      </c>
      <c r="H32" s="12">
        <f t="shared" si="6"/>
        <v>1112.8699999999999</v>
      </c>
      <c r="I32" s="12">
        <f t="shared" si="6"/>
        <v>1426.18</v>
      </c>
      <c r="O32" s="10"/>
    </row>
    <row r="34" spans="1:9" x14ac:dyDescent="0.25">
      <c r="A34" t="s">
        <v>5</v>
      </c>
      <c r="B34" s="2">
        <f t="shared" ref="B34:I34" si="7">(B31/$E$16-1)</f>
        <v>0</v>
      </c>
      <c r="C34" s="2">
        <f t="shared" si="7"/>
        <v>-0.14899999999999999</v>
      </c>
      <c r="D34" s="2">
        <f t="shared" si="7"/>
        <v>-1.0999999999999999E-2</v>
      </c>
      <c r="E34" s="2">
        <f t="shared" si="7"/>
        <v>0.127</v>
      </c>
      <c r="F34" s="2">
        <f t="shared" si="7"/>
        <v>0.35699999999999998</v>
      </c>
      <c r="G34" s="2">
        <f t="shared" si="7"/>
        <v>0.58699999999999997</v>
      </c>
      <c r="H34" s="2">
        <f t="shared" si="7"/>
        <v>0.81699999999999995</v>
      </c>
      <c r="I34" s="2">
        <f t="shared" si="7"/>
        <v>1.0469999999999999</v>
      </c>
    </row>
    <row r="35" spans="1:9" x14ac:dyDescent="0.25">
      <c r="A35" t="s">
        <v>6</v>
      </c>
      <c r="B35" s="2">
        <f>(1+B34)^(1/5)-1</f>
        <v>0</v>
      </c>
      <c r="C35" s="2">
        <f>(1+C34)^(1/5)-1</f>
        <v>-3.2000000000000001E-2</v>
      </c>
      <c r="D35" s="2">
        <f>(1+D34)^(1/5)-1</f>
        <v>-2E-3</v>
      </c>
      <c r="E35" s="2">
        <f t="shared" ref="E35:G35" si="8">(1+E34)^(1/5)-1</f>
        <v>2.4E-2</v>
      </c>
      <c r="F35" s="2">
        <f t="shared" si="8"/>
        <v>6.3E-2</v>
      </c>
      <c r="G35" s="2">
        <f t="shared" si="8"/>
        <v>9.7000000000000003E-2</v>
      </c>
      <c r="H35" s="2">
        <f t="shared" ref="H35:I35" si="9">(1+H34)^(1/5)-1</f>
        <v>0.127</v>
      </c>
      <c r="I35" s="2">
        <f t="shared" si="9"/>
        <v>0.154</v>
      </c>
    </row>
    <row r="37" spans="1:9" x14ac:dyDescent="0.25">
      <c r="A37" s="24" t="s">
        <v>11</v>
      </c>
      <c r="B37" s="24"/>
      <c r="C37" s="24"/>
      <c r="D37" s="24"/>
      <c r="E37" s="24"/>
      <c r="F37" s="24"/>
      <c r="G37" s="24"/>
      <c r="H37" s="24"/>
    </row>
    <row r="38" spans="1:9" x14ac:dyDescent="0.25">
      <c r="A38" s="24" t="s">
        <v>35</v>
      </c>
      <c r="B38" s="24"/>
      <c r="C38" s="24"/>
      <c r="D38" s="24"/>
      <c r="E38" s="24"/>
      <c r="F38" s="24"/>
      <c r="G38" s="24"/>
      <c r="H38" s="24"/>
    </row>
    <row r="39" spans="1:9" x14ac:dyDescent="0.25">
      <c r="A39" s="24" t="s">
        <v>36</v>
      </c>
      <c r="B39" s="24"/>
      <c r="C39" s="24"/>
      <c r="D39" s="24"/>
      <c r="E39" s="24"/>
      <c r="F39" s="24"/>
      <c r="G39" s="24"/>
      <c r="H39" s="24"/>
    </row>
    <row r="41" spans="1:9" x14ac:dyDescent="0.25">
      <c r="A41" s="24" t="s">
        <v>37</v>
      </c>
      <c r="B41" s="24"/>
      <c r="C41" s="24"/>
      <c r="D41" s="24"/>
      <c r="E41" s="24"/>
      <c r="F41" s="24"/>
      <c r="G41" s="24"/>
    </row>
    <row r="42" spans="1:9" x14ac:dyDescent="0.25">
      <c r="A42" s="24" t="s">
        <v>29</v>
      </c>
      <c r="B42" s="24"/>
      <c r="C42" s="24"/>
      <c r="D42" s="24"/>
      <c r="E42" s="24"/>
      <c r="F42" s="24"/>
      <c r="G42" s="24"/>
    </row>
    <row r="43" spans="1:9" x14ac:dyDescent="0.25">
      <c r="A43" s="24" t="s">
        <v>30</v>
      </c>
      <c r="B43" s="24"/>
      <c r="C43" s="24"/>
      <c r="D43" s="24"/>
      <c r="E43" s="24"/>
      <c r="F43" s="24"/>
      <c r="G43" s="24"/>
    </row>
    <row r="44" spans="1:9" x14ac:dyDescent="0.25">
      <c r="A44" s="24" t="s">
        <v>31</v>
      </c>
      <c r="B44" s="24"/>
      <c r="C44" s="24"/>
      <c r="D44" s="24"/>
      <c r="E44" s="24"/>
      <c r="F44" s="24"/>
      <c r="G44" s="24"/>
    </row>
    <row r="45" spans="1:9" x14ac:dyDescent="0.25">
      <c r="A45" s="24" t="s">
        <v>32</v>
      </c>
      <c r="B45" s="24"/>
      <c r="C45" s="24"/>
      <c r="D45" s="24"/>
      <c r="E45" s="24"/>
      <c r="F45" s="24"/>
      <c r="G45" s="24"/>
    </row>
    <row r="46" spans="1:9" x14ac:dyDescent="0.25">
      <c r="A46" s="24" t="s">
        <v>33</v>
      </c>
      <c r="B46" s="24"/>
      <c r="C46" s="24"/>
      <c r="D46" s="24"/>
      <c r="E46" s="24"/>
      <c r="F46" s="24"/>
      <c r="G46" s="24"/>
    </row>
    <row r="47" spans="1:9" x14ac:dyDescent="0.25">
      <c r="A47" s="24" t="s">
        <v>34</v>
      </c>
      <c r="B47" s="24"/>
      <c r="C47" s="24"/>
      <c r="D47" s="24"/>
      <c r="E47" s="24"/>
      <c r="F47" s="24"/>
      <c r="G47" s="24"/>
    </row>
    <row r="49" spans="1:7" x14ac:dyDescent="0.25">
      <c r="A49" s="24" t="s">
        <v>15</v>
      </c>
      <c r="B49" s="24"/>
      <c r="C49" s="24"/>
      <c r="D49" s="24"/>
      <c r="E49" s="24"/>
      <c r="F49" s="24"/>
      <c r="G49" s="24"/>
    </row>
    <row r="50" spans="1:7" x14ac:dyDescent="0.25">
      <c r="A50" s="24" t="s">
        <v>16</v>
      </c>
      <c r="B50" s="24"/>
      <c r="C50" s="24"/>
      <c r="D50" s="24"/>
      <c r="E50" s="24"/>
      <c r="F50" s="24"/>
      <c r="G50" s="24"/>
    </row>
  </sheetData>
  <sheetProtection algorithmName="SHA-512" hashValue="fkpLkllLGDtEbGeX07G9JlR0GN2u3hTG64Sthijm1oXvKkJ7C19fcAzr7fuMcbbh6QrfLEiRHZFUiFKJfhW6gQ==" saltValue="N7/Xwv+Vi8KdH+fYamDfOQ==" spinCount="100000" sheet="1" objects="1" scenarios="1"/>
  <mergeCells count="3">
    <mergeCell ref="D1:I1"/>
    <mergeCell ref="A1:C1"/>
    <mergeCell ref="F21:I23"/>
  </mergeCells>
  <phoneticPr fontId="5" type="noConversion"/>
  <pageMargins left="0.7" right="0.7" top="0.75" bottom="0.75" header="0.3" footer="0.3"/>
  <pageSetup paperSize="9" orientation="portrait" r:id="rId1"/>
  <headerFooter>
    <oddFooter>&amp;C&amp;B&amp;"Calibri"&amp;10&amp;K000000​‌{OPEN}‌​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9AA05-E414-9B4D-9BFF-199C90A044C5}">
  <dimension ref="A1:D12"/>
  <sheetViews>
    <sheetView workbookViewId="0">
      <selection activeCell="C11" sqref="C11"/>
    </sheetView>
  </sheetViews>
  <sheetFormatPr defaultColWidth="11.5703125" defaultRowHeight="15" x14ac:dyDescent="0.25"/>
  <cols>
    <col min="1" max="1" width="73.28515625" bestFit="1" customWidth="1"/>
  </cols>
  <sheetData>
    <row r="1" spans="1:4" x14ac:dyDescent="0.25">
      <c r="A1" s="27" t="s">
        <v>49</v>
      </c>
      <c r="B1" s="28">
        <f>VLOOKUP(Loon,C1:D2,2,TRUE)</f>
        <v>0.36969999999999997</v>
      </c>
      <c r="C1" s="29">
        <v>0</v>
      </c>
      <c r="D1" s="28">
        <v>0.36969999999999997</v>
      </c>
    </row>
    <row r="2" spans="1:4" x14ac:dyDescent="0.25">
      <c r="A2" s="30"/>
      <c r="B2" s="28"/>
      <c r="C2" s="29">
        <v>75519</v>
      </c>
      <c r="D2" s="28">
        <v>0.495</v>
      </c>
    </row>
    <row r="3" spans="1:4" x14ac:dyDescent="0.25">
      <c r="A3" s="30"/>
      <c r="B3" s="28"/>
      <c r="C3" s="29"/>
      <c r="D3" s="28"/>
    </row>
    <row r="4" spans="1:4" x14ac:dyDescent="0.25">
      <c r="A4" s="27" t="s">
        <v>44</v>
      </c>
      <c r="B4" s="28">
        <f>VLOOKUP(Loon,C4:D6,2,TRUE)</f>
        <v>6.6299999999999998E-2</v>
      </c>
      <c r="C4" s="29">
        <v>0</v>
      </c>
      <c r="D4" s="28">
        <v>0</v>
      </c>
    </row>
    <row r="5" spans="1:4" x14ac:dyDescent="0.25">
      <c r="A5" s="30"/>
      <c r="B5" s="28"/>
      <c r="C5" s="29">
        <v>24813</v>
      </c>
      <c r="D5" s="28">
        <v>6.6299999999999998E-2</v>
      </c>
    </row>
    <row r="6" spans="1:4" x14ac:dyDescent="0.25">
      <c r="A6" s="30"/>
      <c r="B6" s="28"/>
      <c r="C6" s="29">
        <v>75519</v>
      </c>
      <c r="D6" s="28">
        <v>0</v>
      </c>
    </row>
    <row r="7" spans="1:4" x14ac:dyDescent="0.25">
      <c r="A7" s="30"/>
      <c r="B7" s="28"/>
      <c r="C7" s="29"/>
      <c r="D7" s="28"/>
    </row>
    <row r="8" spans="1:4" x14ac:dyDescent="0.25">
      <c r="A8" s="27" t="s">
        <v>45</v>
      </c>
      <c r="B8" s="28">
        <f>VLOOKUP(Loon,C8:D12,2,TRUE)</f>
        <v>6.5100000000000005E-2</v>
      </c>
      <c r="C8" s="29">
        <v>0</v>
      </c>
      <c r="D8" s="28">
        <v>-8.4250000000000005E-2</v>
      </c>
    </row>
    <row r="9" spans="1:4" x14ac:dyDescent="0.25">
      <c r="A9" s="30"/>
      <c r="B9" s="28"/>
      <c r="C9" s="29">
        <v>11491</v>
      </c>
      <c r="D9" s="28">
        <v>-0.31433</v>
      </c>
    </row>
    <row r="10" spans="1:4" x14ac:dyDescent="0.25">
      <c r="A10" s="30"/>
      <c r="B10" s="28"/>
      <c r="C10" s="29">
        <v>24821</v>
      </c>
      <c r="D10" s="28">
        <v>-2.4709999999999999E-2</v>
      </c>
    </row>
    <row r="11" spans="1:4" x14ac:dyDescent="0.25">
      <c r="A11" s="30"/>
      <c r="B11" s="28"/>
      <c r="C11" s="29">
        <v>39958</v>
      </c>
      <c r="D11" s="28">
        <v>6.5100000000000005E-2</v>
      </c>
    </row>
    <row r="12" spans="1:4" x14ac:dyDescent="0.25">
      <c r="A12" s="30"/>
      <c r="B12" s="28"/>
      <c r="C12" s="29">
        <v>124935</v>
      </c>
      <c r="D12" s="28">
        <v>0</v>
      </c>
    </row>
  </sheetData>
  <sheetProtection algorithmName="SHA-512" hashValue="wIv25rERvMVJZPlqnebrkc2eOLmIugxig20V8nhfg/367gFMWK3DDbuS2w8UN6lT5ZGHaw4K4KZUwXrB0XTKfQ==" saltValue="m1g9emYZzNPElIYSeV+YYw==" spinCount="100000" sheet="1" objects="1" scenarios="1"/>
  <pageMargins left="0.7" right="0.7" top="0.75" bottom="0.75" header="0.3" footer="0.3"/>
  <pageSetup orientation="portrait" r:id="rId1"/>
  <headerFooter>
    <oddFooter>&amp;C&amp;B&amp;"Calibri"&amp;10&amp;K000000​‌{OPEN}‌​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Simulatie</vt:lpstr>
      <vt:lpstr>Rekenblad</vt:lpstr>
      <vt:lpstr>Loon</vt:lpstr>
    </vt:vector>
  </TitlesOfParts>
  <Manager/>
  <Company>Thales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Emiel Stolp;Ko van den Berg</dc:creator>
  <cp:keywords/>
  <dc:description/>
  <cp:lastModifiedBy>BEKKER Chera</cp:lastModifiedBy>
  <dcterms:created xsi:type="dcterms:W3CDTF">2015-09-09T15:09:43Z</dcterms:created>
  <dcterms:modified xsi:type="dcterms:W3CDTF">2024-11-04T10:19:46Z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Caveats_Count">
    <vt:lpwstr>0</vt:lpwstr>
  </property>
  <property fmtid="{D5CDD505-2E9C-101B-9397-08002B2CF9AE}" pid="3" name="PM_Namespace">
    <vt:lpwstr>2021.1.thalesgroup.com</vt:lpwstr>
  </property>
  <property fmtid="{D5CDD505-2E9C-101B-9397-08002B2CF9AE}" pid="4" name="PMUuid">
    <vt:lpwstr>v=2022.2;d=thalesgroup.com;g=1C0CED49-5D7F-51D3-9A72-030A25EC3EAF</vt:lpwstr>
  </property>
  <property fmtid="{D5CDD505-2E9C-101B-9397-08002B2CF9AE}" pid="5" name="PM_SpecialHandlingCaveat">
    <vt:lpwstr>81F61E28</vt:lpwstr>
  </property>
  <property fmtid="{D5CDD505-2E9C-101B-9397-08002B2CF9AE}" pid="6" name="PM_Version">
    <vt:lpwstr>2023.1</vt:lpwstr>
  </property>
  <property fmtid="{D5CDD505-2E9C-101B-9397-08002B2CF9AE}" pid="7" name="PM_Note">
    <vt:lpwstr/>
  </property>
  <property fmtid="{D5CDD505-2E9C-101B-9397-08002B2CF9AE}" pid="8" name="PMHMAC">
    <vt:lpwstr>v=2022.1;a=SHA256;h=96CEA8DE98EFD5132133AF6A73245386537CE799EA94936EE5E856B4E52B9A23</vt:lpwstr>
  </property>
  <property fmtid="{D5CDD505-2E9C-101B-9397-08002B2CF9AE}" pid="9" name="PM_Qualifier">
    <vt:lpwstr/>
  </property>
  <property fmtid="{D5CDD505-2E9C-101B-9397-08002B2CF9AE}" pid="10" name="PM_SecurityClassification">
    <vt:lpwstr>D04FB6C2</vt:lpwstr>
  </property>
  <property fmtid="{D5CDD505-2E9C-101B-9397-08002B2CF9AE}" pid="11" name="PM_ProtectiveMarkingValue_Header">
    <vt:lpwstr>{OPEN}</vt:lpwstr>
  </property>
  <property fmtid="{D5CDD505-2E9C-101B-9397-08002B2CF9AE}" pid="12" name="MSIP_Label_64c9cc36-7289-4c96-81d0-25ee8eefd11d_SetDate">
    <vt:lpwstr>2024-10-30T07:51:57Z</vt:lpwstr>
  </property>
  <property fmtid="{D5CDD505-2E9C-101B-9397-08002B2CF9AE}" pid="13" name="PM_OriginationTimeStamp">
    <vt:lpwstr>2024-10-30T07:51:57Z</vt:lpwstr>
  </property>
  <property fmtid="{D5CDD505-2E9C-101B-9397-08002B2CF9AE}" pid="14" name="PM_Markers">
    <vt:lpwstr/>
  </property>
  <property fmtid="{D5CDD505-2E9C-101B-9397-08002B2CF9AE}" pid="15" name="PM_DownTo">
    <vt:lpwstr/>
  </property>
  <property fmtid="{D5CDD505-2E9C-101B-9397-08002B2CF9AE}" pid="16" name="PM_DisplayValueSecClassificationWithQualifier">
    <vt:lpwstr>Classified as: {THALES GROUP OPEN}_x000d_
Contains content that is: {NOT EXPORT CONTROLLED}</vt:lpwstr>
  </property>
  <property fmtid="{D5CDD505-2E9C-101B-9397-08002B2CF9AE}" pid="17" name="PM_Expires">
    <vt:lpwstr/>
  </property>
  <property fmtid="{D5CDD505-2E9C-101B-9397-08002B2CF9AE}" pid="18" name="MSIP_Label_64c9cc36-7289-4c96-81d0-25ee8eefd11d_Name">
    <vt:lpwstr>D04FB6C2</vt:lpwstr>
  </property>
  <property fmtid="{D5CDD505-2E9C-101B-9397-08002B2CF9AE}" pid="19" name="MSIP_Label_64c9cc36-7289-4c96-81d0-25ee8eefd11d_SiteId">
    <vt:lpwstr>6e603289-5e46-4e26-ac7c-03a85420a9a5</vt:lpwstr>
  </property>
  <property fmtid="{D5CDD505-2E9C-101B-9397-08002B2CF9AE}" pid="20" name="MSIP_Label_64c9cc36-7289-4c96-81d0-25ee8eefd11d_Enabled">
    <vt:lpwstr>true</vt:lpwstr>
  </property>
  <property fmtid="{D5CDD505-2E9C-101B-9397-08002B2CF9AE}" pid="21" name="PM_Hash_SHA1">
    <vt:lpwstr>A3CA6565E8B0E56553C6EF423AE710AAF704A4BC</vt:lpwstr>
  </property>
  <property fmtid="{D5CDD505-2E9C-101B-9397-08002B2CF9AE}" pid="22" name="MSIP_Label_64c9cc36-7289-4c96-81d0-25ee8eefd11d_Method">
    <vt:lpwstr>Privileged</vt:lpwstr>
  </property>
  <property fmtid="{D5CDD505-2E9C-101B-9397-08002B2CF9AE}" pid="23" name="MSIP_Label_64c9cc36-7289-4c96-81d0-25ee8eefd11d_ContentBits">
    <vt:lpwstr>0</vt:lpwstr>
  </property>
  <property fmtid="{D5CDD505-2E9C-101B-9397-08002B2CF9AE}" pid="24" name="PM_Display">
    <vt:lpwstr>Classified as: {THALES GROUP OPEN}_x000d_
Contains content that is: {NOT EXPORT CONTROLLED}</vt:lpwstr>
  </property>
  <property fmtid="{D5CDD505-2E9C-101B-9397-08002B2CF9AE}" pid="25" name="MSIP_Label_64c9cc36-7289-4c96-81d0-25ee8eefd11d_ActionId">
    <vt:lpwstr>6dd81e360a444ca197791936a7f4904c</vt:lpwstr>
  </property>
  <property fmtid="{D5CDD505-2E9C-101B-9397-08002B2CF9AE}" pid="26" name="PM_InsertionValue">
    <vt:lpwstr>OPEN</vt:lpwstr>
  </property>
  <property fmtid="{D5CDD505-2E9C-101B-9397-08002B2CF9AE}" pid="27" name="PM_Originator_Hash_SHA1">
    <vt:lpwstr>33762BADC09DFF7E4C7A097B9183D750DD8796B0</vt:lpwstr>
  </property>
  <property fmtid="{D5CDD505-2E9C-101B-9397-08002B2CF9AE}" pid="28" name="PM_Originating_FileId">
    <vt:lpwstr>4D54AC41E6E64F47A5615E605025D10C</vt:lpwstr>
  </property>
  <property fmtid="{D5CDD505-2E9C-101B-9397-08002B2CF9AE}" pid="29" name="PM_ProtectiveMarkingValue_Footer">
    <vt:lpwstr>{OPEN}</vt:lpwstr>
  </property>
  <property fmtid="{D5CDD505-2E9C-101B-9397-08002B2CF9AE}" pid="30" name="PM_OriginatorUserAccountName_SHA256">
    <vt:lpwstr>CA5B24930DB45A198C7DBCD49BF86FC3AE5E1533F7C392E4FF088FBFDBAF3D6D</vt:lpwstr>
  </property>
  <property fmtid="{D5CDD505-2E9C-101B-9397-08002B2CF9AE}" pid="31" name="PM_OriginatorDomainName_SHA256">
    <vt:lpwstr>24702B837DE678DDBCB7B699318648E0BD21950824EF7D70E69B9C3F8A5768E7</vt:lpwstr>
  </property>
  <property fmtid="{D5CDD505-2E9C-101B-9397-08002B2CF9AE}" pid="32" name="PM_Hash_Version">
    <vt:lpwstr>2022.1</vt:lpwstr>
  </property>
  <property fmtid="{D5CDD505-2E9C-101B-9397-08002B2CF9AE}" pid="33" name="PM_Hash_Salt_Prev">
    <vt:lpwstr>A114BDCD6A9FEE4861CCF0DC145AE836</vt:lpwstr>
  </property>
  <property fmtid="{D5CDD505-2E9C-101B-9397-08002B2CF9AE}" pid="34" name="PM_Hash_Salt">
    <vt:lpwstr>7B839224C37843E71B04579DEE30E8E5</vt:lpwstr>
  </property>
  <property fmtid="{D5CDD505-2E9C-101B-9397-08002B2CF9AE}" pid="35" name="PM_PrintOutPlacement_XLS">
    <vt:lpwstr>CenterFooter</vt:lpwstr>
  </property>
  <property fmtid="{D5CDD505-2E9C-101B-9397-08002B2CF9AE}" pid="36" name="PM_SecurityClassification_Prev">
    <vt:lpwstr>D04FB6C2</vt:lpwstr>
  </property>
  <property fmtid="{D5CDD505-2E9C-101B-9397-08002B2CF9AE}" pid="37" name="PM_Qualifier_Prev">
    <vt:lpwstr/>
  </property>
</Properties>
</file>